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255" windowHeight="7935"/>
  </bookViews>
  <sheets>
    <sheet name="Аркуш1" sheetId="1" r:id="rId1"/>
    <sheet name="Аркуш2" sheetId="2" r:id="rId2"/>
    <sheet name="Аркуш3" sheetId="3" r:id="rId3"/>
  </sheets>
  <externalReferences>
    <externalReference r:id="rId4"/>
    <externalReference r:id="rId5"/>
  </externalReferences>
  <calcPr calcId="144525"/>
</workbook>
</file>

<file path=xl/calcChain.xml><?xml version="1.0" encoding="utf-8"?>
<calcChain xmlns="http://schemas.openxmlformats.org/spreadsheetml/2006/main">
  <c r="H37" i="1" l="1"/>
  <c r="I37" i="1" s="1"/>
  <c r="H29" i="1"/>
  <c r="I29" i="1" s="1"/>
  <c r="H26" i="1"/>
  <c r="I26" i="1" s="1"/>
  <c r="H12" i="1"/>
  <c r="I12" i="1" s="1"/>
  <c r="E35" i="1"/>
  <c r="E34" i="1"/>
  <c r="E30" i="1"/>
  <c r="E29" i="1"/>
  <c r="E28" i="1"/>
  <c r="E23" i="1"/>
  <c r="E22" i="1"/>
  <c r="E18" i="1"/>
  <c r="E17" i="1"/>
  <c r="E15" i="1"/>
  <c r="E11" i="1"/>
  <c r="C35" i="1"/>
  <c r="H35" i="1" s="1"/>
  <c r="I35" i="1" s="1"/>
  <c r="C34" i="1"/>
  <c r="H34" i="1" s="1"/>
  <c r="I34" i="1" s="1"/>
  <c r="C30" i="1" l="1"/>
  <c r="C29" i="1"/>
  <c r="D29" i="1" s="1"/>
  <c r="C28" i="1"/>
  <c r="H28" i="1" s="1"/>
  <c r="I28" i="1" s="1"/>
  <c r="C23" i="1"/>
  <c r="C22" i="1"/>
  <c r="C18" i="1"/>
  <c r="H18" i="1" s="1"/>
  <c r="I18" i="1" s="1"/>
  <c r="C17" i="1"/>
  <c r="H17" i="1" s="1"/>
  <c r="I17" i="1" s="1"/>
  <c r="C15" i="1"/>
  <c r="D12" i="1"/>
  <c r="C11" i="1"/>
  <c r="F26" i="1"/>
  <c r="F39" i="1"/>
  <c r="F38" i="1"/>
  <c r="F37" i="1"/>
  <c r="F36" i="1"/>
  <c r="F35" i="1"/>
  <c r="F34" i="1"/>
  <c r="F32" i="1"/>
  <c r="F31" i="1"/>
  <c r="F30" i="1"/>
  <c r="F29" i="1"/>
  <c r="F28" i="1"/>
  <c r="F25" i="1"/>
  <c r="F24" i="1"/>
  <c r="F23" i="1"/>
  <c r="F22" i="1"/>
  <c r="F20" i="1"/>
  <c r="F19" i="1"/>
  <c r="F18" i="1"/>
  <c r="F17" i="1"/>
  <c r="F15" i="1"/>
  <c r="F14" i="1"/>
  <c r="F13" i="1"/>
  <c r="F12" i="1"/>
  <c r="F11" i="1"/>
  <c r="D39" i="1"/>
  <c r="D38" i="1"/>
  <c r="D37" i="1"/>
  <c r="D36" i="1"/>
  <c r="D35" i="1"/>
  <c r="D34" i="1"/>
  <c r="D32" i="1"/>
  <c r="D31" i="1"/>
  <c r="D30" i="1"/>
  <c r="D28" i="1"/>
  <c r="D26" i="1"/>
  <c r="D25" i="1"/>
  <c r="D24" i="1"/>
  <c r="D20" i="1"/>
  <c r="D19" i="1"/>
  <c r="D18" i="1"/>
  <c r="D17" i="1"/>
  <c r="E16" i="1"/>
  <c r="D14" i="1"/>
  <c r="D13" i="1"/>
  <c r="F41" i="1"/>
  <c r="D41" i="1"/>
  <c r="E41" i="1"/>
  <c r="E33" i="1"/>
  <c r="E27" i="1"/>
  <c r="E21" i="1"/>
  <c r="E10" i="1"/>
  <c r="C41" i="1"/>
  <c r="C33" i="1"/>
  <c r="H33" i="1" s="1"/>
  <c r="I33" i="1" s="1"/>
  <c r="C27" i="1"/>
  <c r="H27" i="1" s="1"/>
  <c r="I27" i="1" s="1"/>
  <c r="D11" i="1" l="1"/>
  <c r="H11" i="1"/>
  <c r="I11" i="1" s="1"/>
  <c r="D15" i="1"/>
  <c r="H15" i="1"/>
  <c r="I15" i="1" s="1"/>
  <c r="D23" i="1"/>
  <c r="H23" i="1"/>
  <c r="I23" i="1" s="1"/>
  <c r="D22" i="1"/>
  <c r="H22" i="1"/>
  <c r="I22" i="1" s="1"/>
  <c r="C16" i="1"/>
  <c r="H16" i="1" s="1"/>
  <c r="I16" i="1" s="1"/>
  <c r="C21" i="1"/>
  <c r="H21" i="1" s="1"/>
  <c r="I21" i="1" s="1"/>
  <c r="C10" i="1"/>
  <c r="H10" i="1" s="1"/>
  <c r="I10" i="1" s="1"/>
  <c r="F33" i="1"/>
  <c r="F10" i="1"/>
  <c r="F27" i="1"/>
  <c r="F21" i="1"/>
  <c r="F16" i="1"/>
  <c r="E9" i="1"/>
  <c r="E40" i="1" s="1"/>
  <c r="E48" i="1" s="1"/>
  <c r="E49" i="1" s="1"/>
  <c r="D33" i="1"/>
  <c r="D27" i="1"/>
  <c r="D21" i="1"/>
  <c r="D16" i="1"/>
  <c r="D10" i="1"/>
  <c r="F9" i="1" l="1"/>
  <c r="F40" i="1" s="1"/>
  <c r="C9" i="1"/>
  <c r="D9" i="1"/>
  <c r="D40" i="1" s="1"/>
  <c r="C40" i="1" l="1"/>
  <c r="C48" i="1" s="1"/>
  <c r="C49" i="1" s="1"/>
  <c r="H9" i="1"/>
  <c r="I9" i="1" s="1"/>
</calcChain>
</file>

<file path=xl/sharedStrings.xml><?xml version="1.0" encoding="utf-8"?>
<sst xmlns="http://schemas.openxmlformats.org/spreadsheetml/2006/main" count="101" uniqueCount="88">
  <si>
    <t>№ з/п</t>
  </si>
  <si>
    <t>Найменування показників</t>
  </si>
  <si>
    <t>Централізоване водопостачання</t>
  </si>
  <si>
    <t>Централізоване водовідведення</t>
  </si>
  <si>
    <t>тис.грн. на рік</t>
  </si>
  <si>
    <t>Виробнича собівартість, у тому числі:</t>
  </si>
  <si>
    <t>1.1</t>
  </si>
  <si>
    <t>прямі матеріальні витрати, у тому числі:</t>
  </si>
  <si>
    <t>1.1.1</t>
  </si>
  <si>
    <t>1.1.2</t>
  </si>
  <si>
    <t>1.1.3</t>
  </si>
  <si>
    <t>1.1.4</t>
  </si>
  <si>
    <t>1.3</t>
  </si>
  <si>
    <t>1.2</t>
  </si>
  <si>
    <t>1.3.1</t>
  </si>
  <si>
    <t>1.3.2</t>
  </si>
  <si>
    <t>1.3.3</t>
  </si>
  <si>
    <t>1.3.4</t>
  </si>
  <si>
    <t>1.4</t>
  </si>
  <si>
    <t>1.4.1</t>
  </si>
  <si>
    <t>1.4.2</t>
  </si>
  <si>
    <t>1.4.3</t>
  </si>
  <si>
    <t>1.4.4</t>
  </si>
  <si>
    <t>1.4.5</t>
  </si>
  <si>
    <t>електроенергія</t>
  </si>
  <si>
    <t>витрати на придбання води в інших субєктів господарювання/очищення власних стічних вод іншими субєктами господарювання</t>
  </si>
  <si>
    <t>витрати на реагенти</t>
  </si>
  <si>
    <t>матеріали, запасні частини та інші матеріальні ресурси(ремонти)</t>
  </si>
  <si>
    <t>прямі витрати на оплату праці</t>
  </si>
  <si>
    <t>інші прямі витрати, у тому числі:</t>
  </si>
  <si>
    <t>відрахування на соціальні заходи</t>
  </si>
  <si>
    <t>амортизаційні відрахування</t>
  </si>
  <si>
    <t>підкачка води сторонніми організаціями</t>
  </si>
  <si>
    <t>інші прямі витрати</t>
  </si>
  <si>
    <t>загальновиробничі витрати, у тому числі:</t>
  </si>
  <si>
    <t>витрати на оплату праці</t>
  </si>
  <si>
    <t>витрати, повязані зі сплатою податків, зборів та інших передбачених законодавством обовязкових платежів</t>
  </si>
  <si>
    <t>інші витрати</t>
  </si>
  <si>
    <t>2</t>
  </si>
  <si>
    <t>2.1</t>
  </si>
  <si>
    <t>2.2</t>
  </si>
  <si>
    <t>2.3</t>
  </si>
  <si>
    <t>2.4</t>
  </si>
  <si>
    <t>2.5</t>
  </si>
  <si>
    <t>3</t>
  </si>
  <si>
    <t>3.1</t>
  </si>
  <si>
    <t>3.2</t>
  </si>
  <si>
    <t>3.3</t>
  </si>
  <si>
    <t>3.4</t>
  </si>
  <si>
    <t>4</t>
  </si>
  <si>
    <t>5</t>
  </si>
  <si>
    <t>6</t>
  </si>
  <si>
    <t>7</t>
  </si>
  <si>
    <t>7.1</t>
  </si>
  <si>
    <t>7.2</t>
  </si>
  <si>
    <t>7.3</t>
  </si>
  <si>
    <t>7.4</t>
  </si>
  <si>
    <t>7.5</t>
  </si>
  <si>
    <t>8</t>
  </si>
  <si>
    <t>9</t>
  </si>
  <si>
    <t>10</t>
  </si>
  <si>
    <t>11</t>
  </si>
  <si>
    <t>Адміністративні витрати, у тому числі:</t>
  </si>
  <si>
    <t>Витрати на збут, у тому числі:</t>
  </si>
  <si>
    <t>Інші операційні витрати</t>
  </si>
  <si>
    <t>Фінансові витрати</t>
  </si>
  <si>
    <t>Повна собівартість</t>
  </si>
  <si>
    <t>Розрахунковий прибуток, у тому числі:</t>
  </si>
  <si>
    <t>податок на прибуток</t>
  </si>
  <si>
    <t>дивіденди</t>
  </si>
  <si>
    <t>резервний фонд (капітал)</t>
  </si>
  <si>
    <t>на розвиток виробництва (виробничі інвестиції)</t>
  </si>
  <si>
    <t>інше використання прибутку</t>
  </si>
  <si>
    <t>Сума компенсації/вилученнявитрат на електроенергію, податки та збори за попередній звітний період</t>
  </si>
  <si>
    <t>Вартість централізованого водопостачання/водовідведення, тис.грн</t>
  </si>
  <si>
    <t>грн/м³</t>
  </si>
  <si>
    <t>Тариф на централізоване водопостачання/водовідведення, грн/м³</t>
  </si>
  <si>
    <t>Обсяг реалізації, тис.м³</t>
  </si>
  <si>
    <t>Без ПДВ</t>
  </si>
  <si>
    <t>Структура  тарифів на централізоване водопостачання та водовідведення комунального підприємства "Городоцьке водопровідно-каналізаційне господарство"</t>
  </si>
  <si>
    <t>Додаток 1</t>
  </si>
  <si>
    <t>(ініціали, прізвище)</t>
  </si>
  <si>
    <t>_____________________</t>
  </si>
  <si>
    <t>(підпис)</t>
  </si>
  <si>
    <t>__________</t>
  </si>
  <si>
    <t>(посада)</t>
  </si>
  <si>
    <t>___________________</t>
  </si>
  <si>
    <t>вода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</si>
</sst>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wrapText="1"/>
    </xf>
    <xf numFmtId="0" fontId="5" fillId="0" borderId="1" xfId="0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/>
    <xf numFmtId="0" fontId="7" fillId="0" borderId="0" xfId="0" applyFont="1"/>
    <xf numFmtId="0" fontId="7" fillId="0" borderId="0" xfId="0" applyFont="1" applyAlignment="1">
      <alignment wrapText="1"/>
    </xf>
    <xf numFmtId="164" fontId="9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10" fontId="1" fillId="0" borderId="0" xfId="0" applyNumberFormat="1" applyFont="1"/>
    <xf numFmtId="10" fontId="0" fillId="0" borderId="0" xfId="0" applyNumberFormat="1"/>
    <xf numFmtId="164" fontId="0" fillId="0" borderId="0" xfId="0" applyNumberFormat="1"/>
    <xf numFmtId="0" fontId="5" fillId="0" borderId="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odokanal\Economist\2019_&#1090;&#1072;&#1088;&#1080;&#1092;&#1080;%20&#1088;&#1086;&#1079;&#1088;&#1072;&#1093;&#1091;&#1085;&#1082;&#1080;\&#1044;&#1086;&#1076;&#1072;&#1090;&#1086;&#1082;%208%20&#1082;&#1086;&#1088;&#1080;&#1075;&#1091;&#1074;&#1072;&#1085;&#1085;&#1103;1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odokanal\Economist\2019_&#1090;&#1072;&#1088;&#1080;&#1092;&#1080;%20&#1088;&#1086;&#1079;&#1088;&#1072;&#1093;&#1091;&#1085;&#1082;&#1080;\&#1058;&#1040;&#1041;&#1051;&#1048;&#1062;&#1071;%20&#1042;&#1048;&#1058;&#1056;&#1040;&#1058;%20&#1054;&#1057;&#1058;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ркуш1"/>
    </sheetNames>
    <sheetDataSet>
      <sheetData sheetId="0">
        <row r="14">
          <cell r="K14">
            <v>141.03928947200001</v>
          </cell>
        </row>
        <row r="16">
          <cell r="K16">
            <v>742.00193333999994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"/>
      <sheetName val="прямі"/>
      <sheetName val="загвир"/>
      <sheetName val="адм"/>
      <sheetName val="збут"/>
      <sheetName val="реаг не врах"/>
      <sheetName val="перс"/>
      <sheetName val="ПММ"/>
      <sheetName val="приклад"/>
      <sheetName val="норми"/>
      <sheetName val="інші операц"/>
    </sheetNames>
    <sheetDataSet>
      <sheetData sheetId="0"/>
      <sheetData sheetId="1">
        <row r="8">
          <cell r="F8">
            <v>1120.7282287104001</v>
          </cell>
          <cell r="J8">
            <v>1533.3447180288003</v>
          </cell>
        </row>
        <row r="9">
          <cell r="F9">
            <v>136.26291541401605</v>
          </cell>
          <cell r="J9">
            <v>237.49953612057212</v>
          </cell>
        </row>
        <row r="10">
          <cell r="F10">
            <v>55.917845867520001</v>
          </cell>
          <cell r="J10">
            <v>76.13526328703999</v>
          </cell>
        </row>
        <row r="11">
          <cell r="F11">
            <v>269.55997779822599</v>
          </cell>
          <cell r="J11">
            <v>384.36049383601073</v>
          </cell>
        </row>
        <row r="14">
          <cell r="F14">
            <v>32.557000000000002</v>
          </cell>
          <cell r="J14">
            <v>118.52200000000001</v>
          </cell>
        </row>
      </sheetData>
      <sheetData sheetId="2">
        <row r="8">
          <cell r="F8">
            <v>227.31662745600002</v>
          </cell>
          <cell r="J8">
            <v>119.64033024000001</v>
          </cell>
        </row>
        <row r="9">
          <cell r="F9">
            <v>0</v>
          </cell>
          <cell r="J9">
            <v>0</v>
          </cell>
        </row>
        <row r="10">
          <cell r="F10">
            <v>11.365831372800002</v>
          </cell>
          <cell r="J10">
            <v>5.9820165120000013</v>
          </cell>
        </row>
        <row r="11">
          <cell r="F11">
            <v>52.510140942336001</v>
          </cell>
          <cell r="J11">
            <v>27.636916285440002</v>
          </cell>
        </row>
      </sheetData>
      <sheetData sheetId="3">
        <row r="8">
          <cell r="F8">
            <v>938.84585932800019</v>
          </cell>
          <cell r="J8">
            <v>426.94304025600007</v>
          </cell>
        </row>
        <row r="9">
          <cell r="F9">
            <v>42.298977516228682</v>
          </cell>
          <cell r="J9">
            <v>8.7921128762286838</v>
          </cell>
        </row>
        <row r="10">
          <cell r="F10">
            <v>53.138353638400012</v>
          </cell>
          <cell r="J10">
            <v>20.831047372800004</v>
          </cell>
        </row>
        <row r="11">
          <cell r="F11">
            <v>179.61130190617837</v>
          </cell>
          <cell r="J11">
            <v>100.44456411110633</v>
          </cell>
        </row>
        <row r="12">
          <cell r="F12">
            <v>13.314</v>
          </cell>
          <cell r="J12">
            <v>6.4989999999999988</v>
          </cell>
        </row>
      </sheetData>
      <sheetData sheetId="4">
        <row r="8">
          <cell r="F8">
            <v>538.38148608000006</v>
          </cell>
          <cell r="J8">
            <v>188.43352012800003</v>
          </cell>
        </row>
        <row r="9">
          <cell r="F9">
            <v>0</v>
          </cell>
          <cell r="J9">
            <v>0</v>
          </cell>
        </row>
        <row r="10">
          <cell r="F10">
            <v>26.919074304000006</v>
          </cell>
          <cell r="J10">
            <v>9.421676006400002</v>
          </cell>
        </row>
        <row r="11">
          <cell r="F11">
            <v>114.12312328448002</v>
          </cell>
          <cell r="J11">
            <v>23.042143149568002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topLeftCell="B1" zoomScaleSheetLayoutView="100" workbookViewId="0">
      <selection activeCell="C12" sqref="C12"/>
    </sheetView>
  </sheetViews>
  <sheetFormatPr defaultRowHeight="15" x14ac:dyDescent="0.25"/>
  <cols>
    <col min="1" max="1" width="4" style="5" customWidth="1"/>
    <col min="2" max="2" width="46" style="2" customWidth="1"/>
    <col min="3" max="3" width="14.140625" style="3" customWidth="1"/>
    <col min="4" max="4" width="11.28515625" style="3" customWidth="1"/>
    <col min="5" max="5" width="13.85546875" style="3" customWidth="1"/>
    <col min="6" max="6" width="11.28515625" style="3" customWidth="1"/>
  </cols>
  <sheetData>
    <row r="1" spans="1:9" x14ac:dyDescent="0.25">
      <c r="E1" s="35" t="s">
        <v>80</v>
      </c>
      <c r="F1" s="35"/>
    </row>
    <row r="2" spans="1:9" ht="6" customHeight="1" x14ac:dyDescent="0.25"/>
    <row r="3" spans="1:9" x14ac:dyDescent="0.25">
      <c r="A3" s="40" t="s">
        <v>79</v>
      </c>
      <c r="B3" s="40"/>
      <c r="C3" s="40"/>
      <c r="D3" s="40"/>
      <c r="E3" s="40"/>
      <c r="F3" s="40"/>
    </row>
    <row r="4" spans="1:9" ht="12.75" customHeight="1" x14ac:dyDescent="0.25">
      <c r="A4" s="40"/>
      <c r="B4" s="40"/>
      <c r="C4" s="40"/>
      <c r="D4" s="40"/>
      <c r="E4" s="40"/>
      <c r="F4" s="40"/>
    </row>
    <row r="5" spans="1:9" ht="12.75" customHeight="1" x14ac:dyDescent="0.25">
      <c r="A5" s="24"/>
      <c r="B5" s="4"/>
      <c r="C5" s="4"/>
      <c r="D5" s="4"/>
      <c r="E5" s="4"/>
      <c r="F5" s="8" t="s">
        <v>78</v>
      </c>
    </row>
    <row r="6" spans="1:9" ht="30" customHeight="1" x14ac:dyDescent="0.25">
      <c r="A6" s="42" t="s">
        <v>0</v>
      </c>
      <c r="B6" s="41" t="s">
        <v>1</v>
      </c>
      <c r="C6" s="41" t="s">
        <v>2</v>
      </c>
      <c r="D6" s="41"/>
      <c r="E6" s="41" t="s">
        <v>3</v>
      </c>
      <c r="F6" s="41"/>
    </row>
    <row r="7" spans="1:9" x14ac:dyDescent="0.25">
      <c r="A7" s="42"/>
      <c r="B7" s="41"/>
      <c r="C7" s="7" t="s">
        <v>4</v>
      </c>
      <c r="D7" s="7" t="s">
        <v>75</v>
      </c>
      <c r="E7" s="7" t="s">
        <v>4</v>
      </c>
      <c r="F7" s="7" t="s">
        <v>75</v>
      </c>
      <c r="H7" s="31" t="s">
        <v>87</v>
      </c>
      <c r="I7" s="32"/>
    </row>
    <row r="8" spans="1:9" s="11" customFormat="1" ht="12" customHeight="1" x14ac:dyDescent="0.2">
      <c r="A8" s="25">
        <v>1</v>
      </c>
      <c r="B8" s="9">
        <v>2</v>
      </c>
      <c r="C8" s="10">
        <v>3</v>
      </c>
      <c r="D8" s="10">
        <v>4</v>
      </c>
      <c r="E8" s="10">
        <v>5</v>
      </c>
      <c r="F8" s="10">
        <v>6</v>
      </c>
    </row>
    <row r="9" spans="1:9" s="1" customFormat="1" ht="13.5" customHeight="1" x14ac:dyDescent="0.25">
      <c r="A9" s="26">
        <v>1</v>
      </c>
      <c r="B9" s="22" t="s">
        <v>5</v>
      </c>
      <c r="C9" s="16">
        <f>C10+C15+C16+C21</f>
        <v>5920.5698570332979</v>
      </c>
      <c r="D9" s="17">
        <f t="shared" ref="D9:F9" si="0">D10+D15+D16+D21</f>
        <v>10.542325244005161</v>
      </c>
      <c r="E9" s="16">
        <f t="shared" si="0"/>
        <v>3584.7692076498633</v>
      </c>
      <c r="F9" s="17">
        <f t="shared" si="0"/>
        <v>12.468762461390829</v>
      </c>
      <c r="H9" s="27">
        <f>C9-5326.959</f>
        <v>593.61085703329809</v>
      </c>
      <c r="I9" s="28">
        <f>H9/5326.959</f>
        <v>0.11143522167775237</v>
      </c>
    </row>
    <row r="10" spans="1:9" s="1" customFormat="1" ht="13.5" customHeight="1" x14ac:dyDescent="0.25">
      <c r="A10" s="26" t="s">
        <v>6</v>
      </c>
      <c r="B10" s="22" t="s">
        <v>7</v>
      </c>
      <c r="C10" s="16">
        <f>SUM(C11:C14)</f>
        <v>3643.4012894719999</v>
      </c>
      <c r="D10" s="17">
        <f t="shared" ref="D10:F10" si="1">SUM(D11:D14)</f>
        <v>6.487537908603989</v>
      </c>
      <c r="E10" s="16">
        <f t="shared" si="1"/>
        <v>841.32293333999996</v>
      </c>
      <c r="F10" s="17">
        <f t="shared" si="1"/>
        <v>2.9263406377043473</v>
      </c>
      <c r="H10" s="27">
        <f>C10-3209.659</f>
        <v>433.74228947199981</v>
      </c>
      <c r="I10" s="28">
        <f>H10/3209.659</f>
        <v>0.13513656418703662</v>
      </c>
    </row>
    <row r="11" spans="1:9" ht="12.75" customHeight="1" x14ac:dyDescent="0.25">
      <c r="A11" s="25" t="s">
        <v>8</v>
      </c>
      <c r="B11" s="23" t="s">
        <v>24</v>
      </c>
      <c r="C11" s="18">
        <f>[1]Аркуш1!$K$14</f>
        <v>141.03928947200001</v>
      </c>
      <c r="D11" s="19">
        <f>C11/C50</f>
        <v>0.25113833595441598</v>
      </c>
      <c r="E11" s="20">
        <f>[1]Аркуш1!$K$16</f>
        <v>742.00193333999994</v>
      </c>
      <c r="F11" s="19">
        <f>E11/E50</f>
        <v>2.5808762898782605</v>
      </c>
      <c r="H11" s="30">
        <f>C11-154.797</f>
        <v>-13.75771052799999</v>
      </c>
      <c r="I11" s="29">
        <f>H11/154.797</f>
        <v>-8.8875821417727666E-2</v>
      </c>
    </row>
    <row r="12" spans="1:9" ht="35.25" customHeight="1" x14ac:dyDescent="0.25">
      <c r="A12" s="25" t="s">
        <v>9</v>
      </c>
      <c r="B12" s="23" t="s">
        <v>25</v>
      </c>
      <c r="C12" s="18">
        <v>3408.5</v>
      </c>
      <c r="D12" s="19">
        <f>C12/C50</f>
        <v>6.0692663817663819</v>
      </c>
      <c r="E12" s="21">
        <v>0</v>
      </c>
      <c r="F12" s="19">
        <f>E12/E50</f>
        <v>0</v>
      </c>
      <c r="H12" s="30">
        <f>C12-2961</f>
        <v>447.5</v>
      </c>
      <c r="I12" s="29">
        <f>H12/2961</f>
        <v>0.15113137453562986</v>
      </c>
    </row>
    <row r="13" spans="1:9" x14ac:dyDescent="0.25">
      <c r="A13" s="25" t="s">
        <v>10</v>
      </c>
      <c r="B13" s="23" t="s">
        <v>26</v>
      </c>
      <c r="C13" s="21">
        <v>0</v>
      </c>
      <c r="D13" s="19">
        <f>C13/C50</f>
        <v>0</v>
      </c>
      <c r="E13" s="21">
        <v>0</v>
      </c>
      <c r="F13" s="19">
        <f>E13/E50</f>
        <v>0</v>
      </c>
      <c r="I13" s="29"/>
    </row>
    <row r="14" spans="1:9" ht="26.25" x14ac:dyDescent="0.25">
      <c r="A14" s="25" t="s">
        <v>11</v>
      </c>
      <c r="B14" s="23" t="s">
        <v>27</v>
      </c>
      <c r="C14" s="21">
        <v>93.861999999999995</v>
      </c>
      <c r="D14" s="19">
        <f>C14/C50</f>
        <v>0.16713319088319087</v>
      </c>
      <c r="E14" s="21">
        <v>99.320999999999998</v>
      </c>
      <c r="F14" s="19">
        <f>E14/E50</f>
        <v>0.34546434782608693</v>
      </c>
      <c r="H14">
        <v>0</v>
      </c>
      <c r="I14" s="29">
        <v>0</v>
      </c>
    </row>
    <row r="15" spans="1:9" s="1" customFormat="1" x14ac:dyDescent="0.25">
      <c r="A15" s="26" t="s">
        <v>13</v>
      </c>
      <c r="B15" s="22" t="s">
        <v>28</v>
      </c>
      <c r="C15" s="18">
        <f>SUM([2]прямі!$F$8:$F$10)</f>
        <v>1312.9089899919363</v>
      </c>
      <c r="D15" s="17">
        <f>C15/C50</f>
        <v>2.3378009081052995</v>
      </c>
      <c r="E15" s="20">
        <f>SUM([2]прямі!$J$8:$J$10)</f>
        <v>1846.9795174364126</v>
      </c>
      <c r="F15" s="17">
        <f>E15/E50</f>
        <v>6.4242765823875221</v>
      </c>
      <c r="H15" s="27">
        <f>C15-1195.877</f>
        <v>117.03198999193637</v>
      </c>
      <c r="I15" s="28">
        <f>H15/1195.877</f>
        <v>9.7862898936877607E-2</v>
      </c>
    </row>
    <row r="16" spans="1:9" s="1" customFormat="1" x14ac:dyDescent="0.25">
      <c r="A16" s="26" t="s">
        <v>12</v>
      </c>
      <c r="B16" s="22" t="s">
        <v>29</v>
      </c>
      <c r="C16" s="16">
        <f>C17+C18+C19+C20</f>
        <v>302.116977798226</v>
      </c>
      <c r="D16" s="17">
        <f>D17+D18+D19+D20</f>
        <v>0.53795758154954765</v>
      </c>
      <c r="E16" s="16">
        <f>E17+E18+E19+E20</f>
        <v>502.88249383601072</v>
      </c>
      <c r="F16" s="17">
        <f>F17+F18+F19+F20</f>
        <v>1.7491565002991676</v>
      </c>
      <c r="H16" s="27">
        <f>C16-307.916</f>
        <v>-5.7990222017739939</v>
      </c>
      <c r="I16" s="28">
        <f>H16/307.916</f>
        <v>-1.8833130469913854E-2</v>
      </c>
    </row>
    <row r="17" spans="1:9" x14ac:dyDescent="0.25">
      <c r="A17" s="25" t="s">
        <v>14</v>
      </c>
      <c r="B17" s="23" t="s">
        <v>30</v>
      </c>
      <c r="C17" s="18">
        <f>[2]прямі!$F$11</f>
        <v>269.55997779822599</v>
      </c>
      <c r="D17" s="19">
        <f>C17/C50</f>
        <v>0.47998571545268159</v>
      </c>
      <c r="E17" s="20">
        <f>[2]прямі!$J$11</f>
        <v>384.36049383601073</v>
      </c>
      <c r="F17" s="19">
        <f>E17/E50</f>
        <v>1.336906065516559</v>
      </c>
      <c r="H17" s="30">
        <f>C17-263.093</f>
        <v>6.4669777982259689</v>
      </c>
      <c r="I17" s="29">
        <f>H17/263.093</f>
        <v>2.4580577203597086E-2</v>
      </c>
    </row>
    <row r="18" spans="1:9" x14ac:dyDescent="0.25">
      <c r="A18" s="25" t="s">
        <v>15</v>
      </c>
      <c r="B18" s="23" t="s">
        <v>31</v>
      </c>
      <c r="C18" s="18">
        <f>[2]прямі!$F$14</f>
        <v>32.557000000000002</v>
      </c>
      <c r="D18" s="19">
        <f>C18/C50</f>
        <v>5.7971866096866095E-2</v>
      </c>
      <c r="E18" s="20">
        <f>[2]прямі!$J$14</f>
        <v>118.52200000000001</v>
      </c>
      <c r="F18" s="19">
        <f>E18/E50</f>
        <v>0.4122504347826087</v>
      </c>
      <c r="H18" s="30">
        <f>C18-44.823</f>
        <v>-12.265999999999998</v>
      </c>
      <c r="I18" s="29">
        <f>H18/44.823</f>
        <v>-0.27365415077080957</v>
      </c>
    </row>
    <row r="19" spans="1:9" x14ac:dyDescent="0.25">
      <c r="A19" s="25" t="s">
        <v>16</v>
      </c>
      <c r="B19" s="23" t="s">
        <v>32</v>
      </c>
      <c r="C19" s="21">
        <v>0</v>
      </c>
      <c r="D19" s="19">
        <f>C19/C50</f>
        <v>0</v>
      </c>
      <c r="E19" s="21">
        <v>0</v>
      </c>
      <c r="F19" s="19">
        <f>E19/E50</f>
        <v>0</v>
      </c>
      <c r="I19" s="29"/>
    </row>
    <row r="20" spans="1:9" x14ac:dyDescent="0.25">
      <c r="A20" s="25" t="s">
        <v>17</v>
      </c>
      <c r="B20" s="23" t="s">
        <v>33</v>
      </c>
      <c r="C20" s="21">
        <v>0</v>
      </c>
      <c r="D20" s="19">
        <f>C20/C50</f>
        <v>0</v>
      </c>
      <c r="E20" s="21">
        <v>0</v>
      </c>
      <c r="F20" s="19">
        <f>E20/E50</f>
        <v>0</v>
      </c>
      <c r="I20" s="29"/>
    </row>
    <row r="21" spans="1:9" s="1" customFormat="1" x14ac:dyDescent="0.25">
      <c r="A21" s="26" t="s">
        <v>18</v>
      </c>
      <c r="B21" s="22" t="s">
        <v>34</v>
      </c>
      <c r="C21" s="16">
        <f>C22+C23+C24+C25+C26</f>
        <v>662.14259977113602</v>
      </c>
      <c r="D21" s="17">
        <f>D22+D23+D24+D25+D26</f>
        <v>1.1790288457463247</v>
      </c>
      <c r="E21" s="16">
        <f t="shared" ref="E21:F21" si="2">E22+E23+E24+E25+E26</f>
        <v>393.58426303744</v>
      </c>
      <c r="F21" s="17">
        <f t="shared" si="2"/>
        <v>1.3689887409997914</v>
      </c>
      <c r="H21" s="27">
        <f>C21-613.507</f>
        <v>48.635599771136071</v>
      </c>
      <c r="I21" s="28">
        <f>H21/613.507</f>
        <v>7.9274726728686185E-2</v>
      </c>
    </row>
    <row r="22" spans="1:9" x14ac:dyDescent="0.25">
      <c r="A22" s="25" t="s">
        <v>19</v>
      </c>
      <c r="B22" s="23" t="s">
        <v>35</v>
      </c>
      <c r="C22" s="20">
        <f>SUM([2]загвир!$F$8:$F$10)</f>
        <v>238.68245882880001</v>
      </c>
      <c r="D22" s="19">
        <f>C22/C50</f>
        <v>0.42500437825641024</v>
      </c>
      <c r="E22" s="20">
        <f>SUM([2]загвир!$J$8:$J$10)</f>
        <v>125.62234675200001</v>
      </c>
      <c r="F22" s="19">
        <f>E22/E50</f>
        <v>0.43694729305043484</v>
      </c>
      <c r="H22" s="30">
        <f>C22-176.145</f>
        <v>62.537458828799998</v>
      </c>
      <c r="I22" s="29">
        <f>H22/176.145</f>
        <v>0.35503397103976836</v>
      </c>
    </row>
    <row r="23" spans="1:9" x14ac:dyDescent="0.25">
      <c r="A23" s="25" t="s">
        <v>20</v>
      </c>
      <c r="B23" s="23" t="s">
        <v>30</v>
      </c>
      <c r="C23" s="20">
        <f>[2]загвир!$F$11</f>
        <v>52.510140942336001</v>
      </c>
      <c r="D23" s="19">
        <f>C23/C50</f>
        <v>9.3500963216410257E-2</v>
      </c>
      <c r="E23" s="20">
        <f>[2]загвир!$J$11</f>
        <v>27.636916285440002</v>
      </c>
      <c r="F23" s="19">
        <f>E23/E50</f>
        <v>9.6128404471095663E-2</v>
      </c>
      <c r="H23" s="30">
        <f>C23-38.752</f>
        <v>13.758140942335999</v>
      </c>
      <c r="I23" s="29">
        <f>H23/38.752</f>
        <v>0.35503047435838142</v>
      </c>
    </row>
    <row r="24" spans="1:9" x14ac:dyDescent="0.25">
      <c r="A24" s="25" t="s">
        <v>21</v>
      </c>
      <c r="B24" s="23" t="s">
        <v>31</v>
      </c>
      <c r="C24" s="21">
        <v>0</v>
      </c>
      <c r="D24" s="19">
        <f>C24/C50</f>
        <v>0</v>
      </c>
      <c r="E24" s="21">
        <v>0</v>
      </c>
      <c r="F24" s="19">
        <f>E24/E50</f>
        <v>0</v>
      </c>
      <c r="I24" s="29"/>
    </row>
    <row r="25" spans="1:9" ht="23.25" customHeight="1" x14ac:dyDescent="0.25">
      <c r="A25" s="25" t="s">
        <v>22</v>
      </c>
      <c r="B25" s="23" t="s">
        <v>36</v>
      </c>
      <c r="C25" s="21">
        <v>0</v>
      </c>
      <c r="D25" s="19">
        <f>C25/C50</f>
        <v>0</v>
      </c>
      <c r="E25" s="20">
        <v>4.3040000000000003</v>
      </c>
      <c r="F25" s="19">
        <f>E25/E50</f>
        <v>1.4970434782608696E-2</v>
      </c>
      <c r="I25" s="29"/>
    </row>
    <row r="26" spans="1:9" x14ac:dyDescent="0.25">
      <c r="A26" s="25" t="s">
        <v>23</v>
      </c>
      <c r="B26" s="23" t="s">
        <v>37</v>
      </c>
      <c r="C26" s="21">
        <v>370.95</v>
      </c>
      <c r="D26" s="19">
        <f>C26/C50</f>
        <v>0.66052350427350426</v>
      </c>
      <c r="E26" s="21">
        <v>236.02099999999999</v>
      </c>
      <c r="F26" s="19">
        <f>E26/E50</f>
        <v>0.82094260869565217</v>
      </c>
      <c r="H26" s="30">
        <f>C26-398.61</f>
        <v>-27.660000000000025</v>
      </c>
      <c r="I26" s="29">
        <f>H26/398.61</f>
        <v>-6.9391134191314874E-2</v>
      </c>
    </row>
    <row r="27" spans="1:9" s="1" customFormat="1" x14ac:dyDescent="0.25">
      <c r="A27" s="26" t="s">
        <v>38</v>
      </c>
      <c r="B27" s="22" t="s">
        <v>62</v>
      </c>
      <c r="C27" s="16">
        <f>C28+C29+C30+C31+C32</f>
        <v>1394.7224923888075</v>
      </c>
      <c r="D27" s="17">
        <f t="shared" ref="D27:F27" si="3">D28+D29+D30+D31+D32</f>
        <v>2.4834802214900416</v>
      </c>
      <c r="E27" s="16">
        <f t="shared" si="3"/>
        <v>646.49176461613501</v>
      </c>
      <c r="F27" s="17">
        <f t="shared" si="3"/>
        <v>2.2486670073604698</v>
      </c>
      <c r="H27" s="27">
        <f>C27-1155.31</f>
        <v>239.41249238880755</v>
      </c>
      <c r="I27" s="28">
        <f>H27/1155.31</f>
        <v>0.20722792357792069</v>
      </c>
    </row>
    <row r="28" spans="1:9" x14ac:dyDescent="0.25">
      <c r="A28" s="25" t="s">
        <v>39</v>
      </c>
      <c r="B28" s="23" t="s">
        <v>35</v>
      </c>
      <c r="C28" s="20">
        <f>SUM([2]адм!$F$8:$F$10)</f>
        <v>1034.2831904826289</v>
      </c>
      <c r="D28" s="19">
        <f>C28/C50</f>
        <v>1.8416723477254788</v>
      </c>
      <c r="E28" s="20">
        <f>SUM([2]адм!$J$8:$J$10)</f>
        <v>456.56620050502875</v>
      </c>
      <c r="F28" s="19">
        <f>E28/E50</f>
        <v>1.5880563495827087</v>
      </c>
      <c r="H28" s="30">
        <f>C28-807.396</f>
        <v>226.88719048262897</v>
      </c>
      <c r="I28" s="29">
        <f>H28/807.396</f>
        <v>0.28101104102897334</v>
      </c>
    </row>
    <row r="29" spans="1:9" x14ac:dyDescent="0.25">
      <c r="A29" s="25" t="s">
        <v>40</v>
      </c>
      <c r="B29" s="23" t="s">
        <v>30</v>
      </c>
      <c r="C29" s="20">
        <f>[2]адм!$F$11</f>
        <v>179.61130190617837</v>
      </c>
      <c r="D29" s="19">
        <f>C29/C50</f>
        <v>0.31982069427738313</v>
      </c>
      <c r="E29" s="20">
        <f>[2]адм!$J$11</f>
        <v>100.44456411110633</v>
      </c>
      <c r="F29" s="19">
        <f>E29/E50</f>
        <v>0.34937239690819594</v>
      </c>
      <c r="H29">
        <f>179.611-177.627</f>
        <v>1.9839999999999804</v>
      </c>
      <c r="I29" s="29">
        <f>H29/177.627</f>
        <v>1.1169473109380783E-2</v>
      </c>
    </row>
    <row r="30" spans="1:9" x14ac:dyDescent="0.25">
      <c r="A30" s="25" t="s">
        <v>41</v>
      </c>
      <c r="B30" s="23" t="s">
        <v>31</v>
      </c>
      <c r="C30" s="20">
        <f>[2]адм!$F$12</f>
        <v>13.314</v>
      </c>
      <c r="D30" s="19">
        <f>C30/C50</f>
        <v>2.3707264957264957E-2</v>
      </c>
      <c r="E30" s="20">
        <f>[2]адм!$J$12</f>
        <v>6.4989999999999988</v>
      </c>
      <c r="F30" s="19">
        <f>E30/E50</f>
        <v>2.2605217391304343E-2</v>
      </c>
      <c r="I30" s="29"/>
    </row>
    <row r="31" spans="1:9" ht="24.75" customHeight="1" x14ac:dyDescent="0.25">
      <c r="A31" s="25" t="s">
        <v>42</v>
      </c>
      <c r="B31" s="23" t="s">
        <v>36</v>
      </c>
      <c r="C31" s="21">
        <v>8.8130000000000006</v>
      </c>
      <c r="D31" s="19">
        <f>C31/C50</f>
        <v>1.5692663817663818E-2</v>
      </c>
      <c r="E31" s="20">
        <v>2.1360000000000001</v>
      </c>
      <c r="F31" s="19">
        <f>E31/E50</f>
        <v>7.4295652173913046E-3</v>
      </c>
      <c r="I31" s="29"/>
    </row>
    <row r="32" spans="1:9" x14ac:dyDescent="0.25">
      <c r="A32" s="25" t="s">
        <v>43</v>
      </c>
      <c r="B32" s="23" t="s">
        <v>37</v>
      </c>
      <c r="C32" s="21">
        <v>158.70099999999999</v>
      </c>
      <c r="D32" s="19">
        <f>C32/C50</f>
        <v>0.28258725071225071</v>
      </c>
      <c r="E32" s="21">
        <v>80.846000000000004</v>
      </c>
      <c r="F32" s="19">
        <f>E32/E50</f>
        <v>0.28120347826086955</v>
      </c>
      <c r="I32" s="29"/>
    </row>
    <row r="33" spans="1:9" s="1" customFormat="1" x14ac:dyDescent="0.25">
      <c r="A33" s="26" t="s">
        <v>44</v>
      </c>
      <c r="B33" s="22" t="s">
        <v>63</v>
      </c>
      <c r="C33" s="16">
        <f>C34+C35+C36+C37</f>
        <v>714.84868366848002</v>
      </c>
      <c r="D33" s="17">
        <f t="shared" ref="D33:F33" si="4">D34+D35+D36+D37</f>
        <v>1.2728787102358976</v>
      </c>
      <c r="E33" s="16">
        <f t="shared" si="4"/>
        <v>237.60333928396801</v>
      </c>
      <c r="F33" s="17">
        <f t="shared" si="4"/>
        <v>0.82644639750945392</v>
      </c>
      <c r="H33" s="27">
        <f>C33-668.786</f>
        <v>46.062683668480076</v>
      </c>
      <c r="I33" s="28">
        <f>H33/668.786</f>
        <v>6.8875071649944941E-2</v>
      </c>
    </row>
    <row r="34" spans="1:9" x14ac:dyDescent="0.25">
      <c r="A34" s="25" t="s">
        <v>45</v>
      </c>
      <c r="B34" s="23" t="s">
        <v>35</v>
      </c>
      <c r="C34" s="20">
        <f>SUM([2]збут!$F$8:$F$10)</f>
        <v>565.30056038400005</v>
      </c>
      <c r="D34" s="19">
        <f>C34/C50</f>
        <v>1.0065893169230771</v>
      </c>
      <c r="E34" s="20">
        <f>SUM([2]збут!$J$8:$J$10)</f>
        <v>197.85519613440002</v>
      </c>
      <c r="F34" s="19">
        <f>E34/E50</f>
        <v>0.68819198655443481</v>
      </c>
      <c r="H34" s="30">
        <f>C34-530.582</f>
        <v>34.718560384000057</v>
      </c>
      <c r="I34" s="29">
        <f>H34/530.582</f>
        <v>6.5434862818565379E-2</v>
      </c>
    </row>
    <row r="35" spans="1:9" x14ac:dyDescent="0.25">
      <c r="A35" s="25" t="s">
        <v>46</v>
      </c>
      <c r="B35" s="23" t="s">
        <v>30</v>
      </c>
      <c r="C35" s="20">
        <f>[2]збут!$F$11</f>
        <v>114.12312328448002</v>
      </c>
      <c r="D35" s="19">
        <f>C35/C50</f>
        <v>0.20321068960911684</v>
      </c>
      <c r="E35" s="20">
        <f>[2]збут!$J$11</f>
        <v>23.042143149568002</v>
      </c>
      <c r="F35" s="19">
        <f>E35/E50</f>
        <v>8.0146584868062615E-2</v>
      </c>
      <c r="H35" s="30">
        <f>C35-116.728</f>
        <v>-2.6048767155199783</v>
      </c>
      <c r="I35" s="29">
        <f>H35/116.728</f>
        <v>-2.2315782978548235E-2</v>
      </c>
    </row>
    <row r="36" spans="1:9" x14ac:dyDescent="0.25">
      <c r="A36" s="25" t="s">
        <v>47</v>
      </c>
      <c r="B36" s="23" t="s">
        <v>31</v>
      </c>
      <c r="C36" s="21">
        <v>0</v>
      </c>
      <c r="D36" s="19">
        <f>C36/C50</f>
        <v>0</v>
      </c>
      <c r="E36" s="21">
        <v>0</v>
      </c>
      <c r="F36" s="19">
        <f>E36/E50</f>
        <v>0</v>
      </c>
      <c r="I36" s="29"/>
    </row>
    <row r="37" spans="1:9" x14ac:dyDescent="0.25">
      <c r="A37" s="25" t="s">
        <v>48</v>
      </c>
      <c r="B37" s="23" t="s">
        <v>37</v>
      </c>
      <c r="C37" s="21">
        <v>35.424999999999997</v>
      </c>
      <c r="D37" s="19">
        <f>C37/C50</f>
        <v>6.3078703703703692E-2</v>
      </c>
      <c r="E37" s="21">
        <v>16.706</v>
      </c>
      <c r="F37" s="19">
        <f>E37/E50</f>
        <v>5.810782608695652E-2</v>
      </c>
      <c r="H37" s="30">
        <f>C37-21.476</f>
        <v>13.948999999999998</v>
      </c>
      <c r="I37" s="29">
        <f>H37/21.476</f>
        <v>0.6495157384987893</v>
      </c>
    </row>
    <row r="38" spans="1:9" s="1" customFormat="1" x14ac:dyDescent="0.25">
      <c r="A38" s="26" t="s">
        <v>49</v>
      </c>
      <c r="B38" s="22" t="s">
        <v>64</v>
      </c>
      <c r="C38" s="16">
        <v>0</v>
      </c>
      <c r="D38" s="17">
        <f>C38/C50</f>
        <v>0</v>
      </c>
      <c r="E38" s="16">
        <v>0</v>
      </c>
      <c r="F38" s="17">
        <f>E38/E50</f>
        <v>0</v>
      </c>
      <c r="I38" s="28"/>
    </row>
    <row r="39" spans="1:9" s="1" customFormat="1" x14ac:dyDescent="0.25">
      <c r="A39" s="26" t="s">
        <v>50</v>
      </c>
      <c r="B39" s="22" t="s">
        <v>65</v>
      </c>
      <c r="C39" s="16">
        <v>0</v>
      </c>
      <c r="D39" s="17">
        <f>C39/C50</f>
        <v>0</v>
      </c>
      <c r="E39" s="16">
        <v>0</v>
      </c>
      <c r="F39" s="17">
        <f>E39/E50</f>
        <v>0</v>
      </c>
      <c r="I39" s="28"/>
    </row>
    <row r="40" spans="1:9" s="1" customFormat="1" x14ac:dyDescent="0.25">
      <c r="A40" s="26" t="s">
        <v>51</v>
      </c>
      <c r="B40" s="22" t="s">
        <v>66</v>
      </c>
      <c r="C40" s="16">
        <f>C9+C27+C33+C38+C39</f>
        <v>8030.1410330905846</v>
      </c>
      <c r="D40" s="17">
        <f>D9+D27+D33+D38+D39</f>
        <v>14.298684175731101</v>
      </c>
      <c r="E40" s="16">
        <f t="shared" ref="E40:F40" si="5">E9+E27+E33+E38+E39</f>
        <v>4468.8643115499663</v>
      </c>
      <c r="F40" s="17">
        <f t="shared" si="5"/>
        <v>15.543875866260752</v>
      </c>
      <c r="I40" s="28"/>
    </row>
    <row r="41" spans="1:9" s="1" customFormat="1" x14ac:dyDescent="0.25">
      <c r="A41" s="26" t="s">
        <v>52</v>
      </c>
      <c r="B41" s="22" t="s">
        <v>67</v>
      </c>
      <c r="C41" s="16">
        <f>C42+C43+C44+C45+C46</f>
        <v>0</v>
      </c>
      <c r="D41" s="17">
        <f t="shared" ref="D41:F41" si="6">D42+D43+D44+D45+D46</f>
        <v>0</v>
      </c>
      <c r="E41" s="16">
        <f t="shared" si="6"/>
        <v>0</v>
      </c>
      <c r="F41" s="17">
        <f t="shared" si="6"/>
        <v>0</v>
      </c>
      <c r="I41" s="28"/>
    </row>
    <row r="42" spans="1:9" x14ac:dyDescent="0.25">
      <c r="A42" s="25" t="s">
        <v>53</v>
      </c>
      <c r="B42" s="23" t="s">
        <v>68</v>
      </c>
      <c r="C42" s="21">
        <v>0</v>
      </c>
      <c r="D42" s="19">
        <v>0</v>
      </c>
      <c r="E42" s="21">
        <v>0</v>
      </c>
      <c r="F42" s="19">
        <v>0</v>
      </c>
      <c r="I42" s="29"/>
    </row>
    <row r="43" spans="1:9" x14ac:dyDescent="0.25">
      <c r="A43" s="25" t="s">
        <v>54</v>
      </c>
      <c r="B43" s="23" t="s">
        <v>69</v>
      </c>
      <c r="C43" s="21">
        <v>0</v>
      </c>
      <c r="D43" s="19">
        <v>0</v>
      </c>
      <c r="E43" s="21">
        <v>0</v>
      </c>
      <c r="F43" s="19">
        <v>0</v>
      </c>
      <c r="I43" s="29"/>
    </row>
    <row r="44" spans="1:9" x14ac:dyDescent="0.25">
      <c r="A44" s="25" t="s">
        <v>55</v>
      </c>
      <c r="B44" s="23" t="s">
        <v>70</v>
      </c>
      <c r="C44" s="21">
        <v>0</v>
      </c>
      <c r="D44" s="19">
        <v>0</v>
      </c>
      <c r="E44" s="21">
        <v>0</v>
      </c>
      <c r="F44" s="19">
        <v>0</v>
      </c>
      <c r="I44" s="29"/>
    </row>
    <row r="45" spans="1:9" x14ac:dyDescent="0.25">
      <c r="A45" s="25" t="s">
        <v>56</v>
      </c>
      <c r="B45" s="23" t="s">
        <v>71</v>
      </c>
      <c r="C45" s="21">
        <v>0</v>
      </c>
      <c r="D45" s="19">
        <v>0</v>
      </c>
      <c r="E45" s="21">
        <v>0</v>
      </c>
      <c r="F45" s="19">
        <v>0</v>
      </c>
      <c r="I45" s="29"/>
    </row>
    <row r="46" spans="1:9" x14ac:dyDescent="0.25">
      <c r="A46" s="25" t="s">
        <v>57</v>
      </c>
      <c r="B46" s="23" t="s">
        <v>72</v>
      </c>
      <c r="C46" s="21">
        <v>0</v>
      </c>
      <c r="D46" s="19">
        <v>0</v>
      </c>
      <c r="E46" s="21">
        <v>0</v>
      </c>
      <c r="F46" s="19">
        <v>0</v>
      </c>
      <c r="I46" s="29"/>
    </row>
    <row r="47" spans="1:9" s="1" customFormat="1" ht="25.5" customHeight="1" x14ac:dyDescent="0.25">
      <c r="A47" s="26" t="s">
        <v>58</v>
      </c>
      <c r="B47" s="22" t="s">
        <v>73</v>
      </c>
      <c r="C47" s="16">
        <v>0</v>
      </c>
      <c r="D47" s="17">
        <v>0</v>
      </c>
      <c r="E47" s="16">
        <v>0</v>
      </c>
      <c r="F47" s="17">
        <v>0</v>
      </c>
      <c r="I47" s="28"/>
    </row>
    <row r="48" spans="1:9" s="1" customFormat="1" ht="24.75" customHeight="1" x14ac:dyDescent="0.25">
      <c r="A48" s="26" t="s">
        <v>59</v>
      </c>
      <c r="B48" s="22" t="s">
        <v>74</v>
      </c>
      <c r="C48" s="39">
        <f>C40+C41+C47</f>
        <v>8030.1410330905846</v>
      </c>
      <c r="D48" s="36"/>
      <c r="E48" s="39">
        <f>E40+E41+E47</f>
        <v>4468.8643115499663</v>
      </c>
      <c r="F48" s="36"/>
      <c r="I48" s="28"/>
    </row>
    <row r="49" spans="1:9" s="1" customFormat="1" ht="26.25" x14ac:dyDescent="0.25">
      <c r="A49" s="26" t="s">
        <v>60</v>
      </c>
      <c r="B49" s="22" t="s">
        <v>76</v>
      </c>
      <c r="C49" s="38">
        <f>C48/C50</f>
        <v>14.298684175731097</v>
      </c>
      <c r="D49" s="38"/>
      <c r="E49" s="37">
        <f>E48/E50</f>
        <v>15.543875866260752</v>
      </c>
      <c r="F49" s="37"/>
      <c r="I49" s="28"/>
    </row>
    <row r="50" spans="1:9" s="1" customFormat="1" x14ac:dyDescent="0.25">
      <c r="A50" s="26" t="s">
        <v>61</v>
      </c>
      <c r="B50" s="22" t="s">
        <v>77</v>
      </c>
      <c r="C50" s="36">
        <v>561.6</v>
      </c>
      <c r="D50" s="36"/>
      <c r="E50" s="37">
        <v>287.5</v>
      </c>
      <c r="F50" s="37"/>
      <c r="I50" s="28"/>
    </row>
    <row r="51" spans="1:9" ht="9" customHeight="1" x14ac:dyDescent="0.25">
      <c r="B51" s="6"/>
    </row>
    <row r="52" spans="1:9" x14ac:dyDescent="0.25">
      <c r="B52" s="12" t="s">
        <v>86</v>
      </c>
      <c r="C52" s="13" t="s">
        <v>84</v>
      </c>
      <c r="D52" s="13"/>
      <c r="E52" s="33" t="s">
        <v>82</v>
      </c>
      <c r="F52" s="33"/>
    </row>
    <row r="53" spans="1:9" x14ac:dyDescent="0.25">
      <c r="B53" s="15" t="s">
        <v>85</v>
      </c>
      <c r="C53" s="14" t="s">
        <v>83</v>
      </c>
      <c r="E53" s="34" t="s">
        <v>81</v>
      </c>
      <c r="F53" s="34"/>
    </row>
    <row r="54" spans="1:9" x14ac:dyDescent="0.25">
      <c r="B54" s="6"/>
    </row>
  </sheetData>
  <mergeCells count="15">
    <mergeCell ref="H7:I7"/>
    <mergeCell ref="E52:F52"/>
    <mergeCell ref="E53:F53"/>
    <mergeCell ref="E1:F1"/>
    <mergeCell ref="C50:D50"/>
    <mergeCell ref="E50:F50"/>
    <mergeCell ref="C49:D49"/>
    <mergeCell ref="E49:F49"/>
    <mergeCell ref="C48:D48"/>
    <mergeCell ref="E48:F48"/>
    <mergeCell ref="A3:F4"/>
    <mergeCell ref="C6:D6"/>
    <mergeCell ref="E6:F6"/>
    <mergeCell ref="A6:A7"/>
    <mergeCell ref="B6:B7"/>
  </mergeCells>
  <printOptions horizontalCentered="1" verticalCentered="1"/>
  <pageMargins left="0.78740157480314965" right="0" top="0.59055118110236227" bottom="0.3937007874015748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Аркуш1</vt:lpstr>
      <vt:lpstr>Аркуш2</vt:lpstr>
      <vt:lpstr>Аркуш3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Goloborodko</cp:lastModifiedBy>
  <cp:lastPrinted>2019-02-01T14:21:30Z</cp:lastPrinted>
  <dcterms:created xsi:type="dcterms:W3CDTF">2017-10-24T06:55:11Z</dcterms:created>
  <dcterms:modified xsi:type="dcterms:W3CDTF">2019-10-21T13:26:22Z</dcterms:modified>
</cp:coreProperties>
</file>